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45" windowHeight="10935" tabRatio="2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<sst xmlns="http://schemas.openxmlformats.org/spreadsheetml/2006/main" count="116" uniqueCount="91">
  <si>
    <t>Wavelength</t>
  </si>
  <si>
    <t>Slit width</t>
  </si>
  <si>
    <t>microns</t>
  </si>
  <si>
    <t>Focal length</t>
  </si>
  <si>
    <t>mm</t>
  </si>
  <si>
    <t>Lines/mm</t>
  </si>
  <si>
    <t>Blaze angle</t>
  </si>
  <si>
    <t>deg</t>
  </si>
  <si>
    <t>Order</t>
  </si>
  <si>
    <t>Resolving Power</t>
  </si>
  <si>
    <t>Dispersion</t>
  </si>
  <si>
    <t>m/m</t>
  </si>
  <si>
    <t>Spectral Resolution</t>
  </si>
  <si>
    <t>l</t>
  </si>
  <si>
    <t>b</t>
  </si>
  <si>
    <t>1/d</t>
  </si>
  <si>
    <t>p</t>
  </si>
  <si>
    <t>m</t>
  </si>
  <si>
    <t>Reflection angle</t>
  </si>
  <si>
    <t>L</t>
  </si>
  <si>
    <t>Grating length</t>
  </si>
  <si>
    <t>W</t>
  </si>
  <si>
    <t>Diffraction Resolution</t>
  </si>
  <si>
    <t>i</t>
  </si>
  <si>
    <r>
      <t>R =  W(sin</t>
    </r>
    <r>
      <rPr>
        <sz val="10"/>
        <rFont val="Symbol"/>
        <family val="1"/>
      </rPr>
      <t>(i</t>
    </r>
    <r>
      <rPr>
        <sz val="10"/>
        <rFont val="Times"/>
        <family val="1"/>
      </rPr>
      <t>)+sin(</t>
    </r>
    <r>
      <rPr>
        <sz val="10"/>
        <rFont val="Symbol"/>
        <family val="1"/>
      </rPr>
      <t>q</t>
    </r>
    <r>
      <rPr>
        <sz val="10"/>
        <rFont val="Times"/>
        <family val="1"/>
      </rPr>
      <t>)) /</t>
    </r>
    <r>
      <rPr>
        <sz val="10"/>
        <rFont val="Symbol"/>
        <family val="1"/>
      </rPr>
      <t>l</t>
    </r>
  </si>
  <si>
    <r>
      <t>l</t>
    </r>
    <r>
      <rPr>
        <sz val="10"/>
        <rFont val="Times"/>
        <family val="1"/>
      </rPr>
      <t>/R</t>
    </r>
  </si>
  <si>
    <t>D</t>
  </si>
  <si>
    <t>slit length</t>
  </si>
  <si>
    <t>2*h</t>
  </si>
  <si>
    <t>Spectrum curvature</t>
  </si>
  <si>
    <t>radians</t>
  </si>
  <si>
    <t>pixels</t>
  </si>
  <si>
    <t>Incident Angle</t>
  </si>
  <si>
    <t>d</t>
  </si>
  <si>
    <r>
      <t xml:space="preserve"> </t>
    </r>
    <r>
      <rPr>
        <sz val="10"/>
        <rFont val="Times"/>
        <family val="1"/>
      </rPr>
      <t>where</t>
    </r>
    <r>
      <rPr>
        <sz val="10"/>
        <rFont val="Symbol"/>
        <family val="1"/>
      </rPr>
      <t xml:space="preserve"> a</t>
    </r>
    <r>
      <rPr>
        <sz val="10"/>
        <rFont val="Arial"/>
        <family val="0"/>
      </rPr>
      <t xml:space="preserve"> </t>
    </r>
    <r>
      <rPr>
        <sz val="10"/>
        <rFont val="Times"/>
        <family val="1"/>
      </rPr>
      <t>= h/L</t>
    </r>
  </si>
  <si>
    <t>Slit Magnification</t>
  </si>
  <si>
    <t xml:space="preserve"> </t>
  </si>
  <si>
    <r>
      <t>M=</t>
    </r>
    <r>
      <rPr>
        <sz val="10"/>
        <rFont val="Times"/>
        <family val="1"/>
      </rPr>
      <t>cos(i)/cos(</t>
    </r>
    <r>
      <rPr>
        <sz val="10"/>
        <rFont val="Symbol"/>
        <family val="1"/>
      </rPr>
      <t>q</t>
    </r>
    <r>
      <rPr>
        <sz val="10"/>
        <rFont val="Times"/>
        <family val="1"/>
      </rPr>
      <t>)</t>
    </r>
  </si>
  <si>
    <t>Spectral pixel width</t>
  </si>
  <si>
    <t>Spectral slit width</t>
  </si>
  <si>
    <r>
      <t>sec(</t>
    </r>
    <r>
      <rPr>
        <sz val="10"/>
        <rFont val="Symbol"/>
        <family val="1"/>
      </rPr>
      <t>q</t>
    </r>
    <r>
      <rPr>
        <sz val="10"/>
        <rFont val="Times"/>
        <family val="1"/>
      </rPr>
      <t xml:space="preserve">) m </t>
    </r>
    <r>
      <rPr>
        <sz val="10"/>
        <rFont val="Symbol"/>
        <family val="1"/>
      </rPr>
      <t>l</t>
    </r>
    <r>
      <rPr>
        <sz val="10"/>
        <rFont val="Times"/>
        <family val="1"/>
      </rPr>
      <t xml:space="preserve"> </t>
    </r>
    <r>
      <rPr>
        <sz val="10"/>
        <rFont val="Symbol"/>
        <family val="1"/>
      </rPr>
      <t>a</t>
    </r>
    <r>
      <rPr>
        <sz val="10"/>
        <rFont val="Times"/>
        <family val="1"/>
      </rPr>
      <t>^2 / 2d</t>
    </r>
  </si>
  <si>
    <t>i = sin(x)/x</t>
  </si>
  <si>
    <r>
      <t>sin(blaze)/tan((i+</t>
    </r>
    <r>
      <rPr>
        <sz val="10"/>
        <rFont val="Symbol"/>
        <family val="1"/>
      </rPr>
      <t>q</t>
    </r>
    <r>
      <rPr>
        <sz val="10"/>
        <rFont val="Times"/>
        <family val="1"/>
      </rPr>
      <t>)/2)]</t>
    </r>
  </si>
  <si>
    <r>
      <t xml:space="preserve">where x = </t>
    </r>
    <r>
      <rPr>
        <sz val="10"/>
        <rFont val="Symbol"/>
        <family val="1"/>
      </rPr>
      <t>p</t>
    </r>
    <r>
      <rPr>
        <sz val="10"/>
        <rFont val="Times"/>
        <family val="1"/>
      </rPr>
      <t xml:space="preserve"> m [cos(blaze) -  </t>
    </r>
  </si>
  <si>
    <t>Chosen f/#</t>
  </si>
  <si>
    <t>Grating Efficiency</t>
  </si>
  <si>
    <t>Spectrum length</t>
  </si>
  <si>
    <t>mÅ/pixel</t>
  </si>
  <si>
    <t>mÅ</t>
  </si>
  <si>
    <t>Å</t>
  </si>
  <si>
    <t>microns/mÅ</t>
  </si>
  <si>
    <t>Projected Grating Width</t>
  </si>
  <si>
    <t>Shading</t>
  </si>
  <si>
    <t>Total</t>
  </si>
  <si>
    <t>incidence</t>
  </si>
  <si>
    <t>reflection</t>
  </si>
  <si>
    <t>Geometrical Width</t>
  </si>
  <si>
    <t>Diffraction Width</t>
  </si>
  <si>
    <t>Illumination Width</t>
  </si>
  <si>
    <t>Effective Width</t>
  </si>
  <si>
    <t>gw=fl/f#</t>
  </si>
  <si>
    <t>pw=Wcos(blaze)</t>
  </si>
  <si>
    <r>
      <t>dw=2*</t>
    </r>
    <r>
      <rPr>
        <sz val="10"/>
        <rFont val="Symbol"/>
        <family val="1"/>
      </rPr>
      <t>l</t>
    </r>
    <r>
      <rPr>
        <sz val="10"/>
        <rFont val="Times"/>
        <family val="1"/>
      </rPr>
      <t>/b</t>
    </r>
  </si>
  <si>
    <t>lesser of iw and pw</t>
  </si>
  <si>
    <t>iw=sqrt(gw^2+dw^2)</t>
  </si>
  <si>
    <t>not correct need eff.</t>
  </si>
  <si>
    <r>
      <t>shade = 1. - sin(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 - blaze)/sin(90. - blaze)</t>
    </r>
  </si>
  <si>
    <r>
      <t>q</t>
    </r>
    <r>
      <rPr>
        <sz val="10"/>
        <rFont val="Times"/>
        <family val="1"/>
      </rPr>
      <t xml:space="preserve"> = asin ( m</t>
    </r>
    <r>
      <rPr>
        <sz val="10"/>
        <rFont val="Symbol"/>
        <family val="1"/>
      </rPr>
      <t xml:space="preserve"> l </t>
    </r>
    <r>
      <rPr>
        <sz val="10"/>
        <rFont val="Times"/>
        <family val="1"/>
      </rPr>
      <t>/d - sin(i) )</t>
    </r>
  </si>
  <si>
    <t>Required Grating Height</t>
  </si>
  <si>
    <t>Required Grating Length</t>
  </si>
  <si>
    <t>RSS</t>
  </si>
  <si>
    <t>Parameters for DST Horizontal Echelle Spectrograph</t>
  </si>
  <si>
    <t>Camera Lens fl</t>
  </si>
  <si>
    <t>Detector spectral length</t>
  </si>
  <si>
    <r>
      <t>lmd/cos(</t>
    </r>
    <r>
      <rPr>
        <sz val="10"/>
        <rFont val="Symbol"/>
        <family val="1"/>
      </rPr>
      <t>q</t>
    </r>
    <r>
      <rPr>
        <sz val="10"/>
        <rFont val="Times"/>
        <family val="1"/>
      </rPr>
      <t>)</t>
    </r>
  </si>
  <si>
    <t>l*b*M/DL</t>
  </si>
  <si>
    <t>Slit spatial sample</t>
  </si>
  <si>
    <t>arc-sec</t>
  </si>
  <si>
    <t>Spatial coverage</t>
  </si>
  <si>
    <t>Detector spectral pixels</t>
  </si>
  <si>
    <t>Spatial Pixel size</t>
  </si>
  <si>
    <t>Spectral Pixel size</t>
  </si>
  <si>
    <t>Detector spatial pixels</t>
  </si>
  <si>
    <t>Image scale at slit</t>
  </si>
  <si>
    <r>
      <t>m</t>
    </r>
    <r>
      <rPr>
        <sz val="10"/>
        <rFont val="Times"/>
        <family val="1"/>
      </rPr>
      <t>m/arc-sec</t>
    </r>
  </si>
  <si>
    <t>p/D</t>
  </si>
  <si>
    <t>Detector spatial length</t>
  </si>
  <si>
    <t>arc sec</t>
  </si>
  <si>
    <t>cube size</t>
  </si>
  <si>
    <t xml:space="preserve">cube size </t>
  </si>
  <si>
    <t>SPINOR:1280 x 1024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</si>
</sst>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E+00"/>
    <numFmt numFmtId="172" formatCode="0.0"/>
  </numFmts>
  <fonts count="7">
    <font>
      <sz val="10"/>
      <name val="Arial"/>
      <family val="0"/>
    </font>
    <font>
      <sz val="10"/>
      <name val="Symbol"/>
      <family val="1"/>
    </font>
    <font>
      <sz val="10"/>
      <name val="Times"/>
      <family val="1"/>
    </font>
    <font>
      <sz val="10"/>
      <name val="Times New Roman"/>
      <family val="1"/>
    </font>
    <font>
      <b/>
      <sz val="14"/>
      <name val="Times"/>
      <family val="1"/>
    </font>
    <font>
      <sz val="8"/>
      <name val="Times"/>
      <family val="1"/>
    </font>
    <font>
      <b/>
      <sz val="10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169" fontId="2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/>
    </xf>
    <xf numFmtId="169" fontId="2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6" fillId="0" borderId="0" xfId="0" applyNumberFormat="1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workbookViewId="0" topLeftCell="A10">
      <selection activeCell="B34" sqref="B34"/>
    </sheetView>
  </sheetViews>
  <sheetFormatPr defaultColWidth="9.140625" defaultRowHeight="12.75"/>
  <cols>
    <col min="1" max="1" width="19.7109375" style="0" customWidth="1"/>
    <col min="2" max="2" width="17.57421875" style="0" bestFit="1" customWidth="1"/>
    <col min="5" max="5" width="9.140625" style="4" customWidth="1"/>
    <col min="6" max="6" width="10.8515625" style="0" customWidth="1"/>
  </cols>
  <sheetData>
    <row r="1" spans="1:6" ht="18.75">
      <c r="A1" s="12" t="s">
        <v>71</v>
      </c>
      <c r="B1" s="12"/>
      <c r="C1" s="12"/>
      <c r="D1" s="12"/>
      <c r="E1" s="12"/>
      <c r="F1" s="12"/>
    </row>
    <row r="2" ht="12.75">
      <c r="A2" s="9">
        <v>37926</v>
      </c>
    </row>
    <row r="3" spans="1:3" ht="12.75">
      <c r="A3" s="1" t="s">
        <v>90</v>
      </c>
      <c r="C3" t="s">
        <v>36</v>
      </c>
    </row>
    <row r="5" spans="1:8" ht="12.75">
      <c r="A5" s="1" t="s">
        <v>0</v>
      </c>
      <c r="B5" s="13">
        <v>6302</v>
      </c>
      <c r="C5" s="1" t="s">
        <v>49</v>
      </c>
      <c r="D5" s="1"/>
      <c r="E5" s="5" t="s">
        <v>13</v>
      </c>
      <c r="G5">
        <f>0.37*1280/2</f>
        <v>236.8</v>
      </c>
      <c r="H5" t="s">
        <v>87</v>
      </c>
    </row>
    <row r="6" spans="1:7" ht="12.75">
      <c r="A6" s="1" t="s">
        <v>1</v>
      </c>
      <c r="B6" s="1">
        <v>40</v>
      </c>
      <c r="C6" s="1" t="s">
        <v>2</v>
      </c>
      <c r="D6" s="1"/>
      <c r="E6" s="6" t="s">
        <v>14</v>
      </c>
      <c r="G6">
        <f>B16*G5/1000</f>
        <v>31.494400000000002</v>
      </c>
    </row>
    <row r="7" spans="1:8" ht="12.75">
      <c r="A7" s="1" t="s">
        <v>3</v>
      </c>
      <c r="B7" s="13">
        <v>3040</v>
      </c>
      <c r="C7" s="1" t="s">
        <v>4</v>
      </c>
      <c r="D7" s="1"/>
      <c r="E7" s="6" t="s">
        <v>19</v>
      </c>
      <c r="G7">
        <f>G6/1.414</f>
        <v>22.273267326732675</v>
      </c>
      <c r="H7" t="s">
        <v>88</v>
      </c>
    </row>
    <row r="8" spans="1:6" ht="12.75">
      <c r="A8" s="1" t="s">
        <v>5</v>
      </c>
      <c r="B8" s="15">
        <v>308.5714</v>
      </c>
      <c r="C8" s="1">
        <f>1/B8</f>
        <v>0.003240741040809356</v>
      </c>
      <c r="D8" s="1">
        <v>5</v>
      </c>
      <c r="E8" s="6" t="s">
        <v>15</v>
      </c>
      <c r="F8" s="6" t="s">
        <v>33</v>
      </c>
    </row>
    <row r="9" spans="1:5" ht="12.75">
      <c r="A9" s="1" t="s">
        <v>81</v>
      </c>
      <c r="B9" s="1">
        <v>12</v>
      </c>
      <c r="C9" s="1" t="s">
        <v>2</v>
      </c>
      <c r="D9" s="1"/>
      <c r="E9" s="6" t="s">
        <v>16</v>
      </c>
    </row>
    <row r="10" spans="1:5" ht="12.75">
      <c r="A10" s="1" t="s">
        <v>80</v>
      </c>
      <c r="B10" s="1">
        <v>12</v>
      </c>
      <c r="C10" s="1" t="s">
        <v>2</v>
      </c>
      <c r="D10" s="1"/>
      <c r="E10" s="6"/>
    </row>
    <row r="11" spans="1:5" ht="12.75">
      <c r="A11" s="1" t="s">
        <v>20</v>
      </c>
      <c r="B11" s="13">
        <v>206</v>
      </c>
      <c r="C11" s="1" t="s">
        <v>4</v>
      </c>
      <c r="D11" s="1"/>
      <c r="E11" s="7" t="s">
        <v>21</v>
      </c>
    </row>
    <row r="12" spans="1:5" ht="12.75">
      <c r="A12" s="1" t="s">
        <v>6</v>
      </c>
      <c r="B12" s="15">
        <v>63.46</v>
      </c>
      <c r="C12" s="1" t="s">
        <v>7</v>
      </c>
      <c r="D12" s="1"/>
      <c r="E12" s="6"/>
    </row>
    <row r="13" spans="1:5" ht="12.75">
      <c r="A13" s="1" t="s">
        <v>32</v>
      </c>
      <c r="B13" s="16">
        <v>63.46</v>
      </c>
      <c r="C13" s="1" t="s">
        <v>7</v>
      </c>
      <c r="D13" s="1"/>
      <c r="E13" s="6" t="s">
        <v>23</v>
      </c>
    </row>
    <row r="14" spans="1:5" s="8" customFormat="1" ht="12.75">
      <c r="A14" s="1" t="s">
        <v>8</v>
      </c>
      <c r="B14" s="1">
        <v>9</v>
      </c>
      <c r="C14" s="1"/>
      <c r="D14" s="1"/>
      <c r="E14" s="6" t="s">
        <v>17</v>
      </c>
    </row>
    <row r="15" spans="1:5" ht="12.75">
      <c r="A15" s="1" t="s">
        <v>27</v>
      </c>
      <c r="B15" s="10">
        <v>10</v>
      </c>
      <c r="C15" s="1" t="s">
        <v>4</v>
      </c>
      <c r="D15" s="1"/>
      <c r="E15" s="6" t="s">
        <v>28</v>
      </c>
    </row>
    <row r="16" spans="1:5" ht="12.75">
      <c r="A16" s="1" t="s">
        <v>83</v>
      </c>
      <c r="B16" s="10">
        <v>133</v>
      </c>
      <c r="C16" s="21" t="s">
        <v>84</v>
      </c>
      <c r="D16" s="1"/>
      <c r="E16" s="6"/>
    </row>
    <row r="17" spans="1:5" ht="12.75">
      <c r="A17" s="1" t="s">
        <v>76</v>
      </c>
      <c r="B17" s="22">
        <f>B6/B16</f>
        <v>0.3007518796992481</v>
      </c>
      <c r="C17" s="23" t="s">
        <v>77</v>
      </c>
      <c r="D17" s="1"/>
      <c r="E17" s="6"/>
    </row>
    <row r="18" spans="1:5" ht="12.75">
      <c r="A18" s="1" t="s">
        <v>82</v>
      </c>
      <c r="B18" s="10">
        <v>640</v>
      </c>
      <c r="C18" s="1" t="s">
        <v>31</v>
      </c>
      <c r="D18" s="1"/>
      <c r="E18" s="6"/>
    </row>
    <row r="19" spans="1:5" ht="12.75">
      <c r="A19" s="1" t="s">
        <v>86</v>
      </c>
      <c r="B19" s="10">
        <f>B18*B10/1000</f>
        <v>7.68</v>
      </c>
      <c r="C19" s="1" t="s">
        <v>4</v>
      </c>
      <c r="D19" s="1"/>
      <c r="E19" s="6"/>
    </row>
    <row r="20" spans="1:5" ht="12.75">
      <c r="A20" s="1" t="s">
        <v>79</v>
      </c>
      <c r="B20" s="10">
        <v>256</v>
      </c>
      <c r="C20" s="1" t="s">
        <v>31</v>
      </c>
      <c r="D20" s="1"/>
      <c r="E20" s="6"/>
    </row>
    <row r="21" spans="1:5" ht="12.75">
      <c r="A21" s="1" t="s">
        <v>73</v>
      </c>
      <c r="B21" s="10">
        <f>B20*B9/1000</f>
        <v>3.072</v>
      </c>
      <c r="C21" s="1" t="s">
        <v>4</v>
      </c>
      <c r="D21" s="1"/>
      <c r="E21" s="6"/>
    </row>
    <row r="22" spans="1:5" ht="12.75">
      <c r="A22" s="1" t="s">
        <v>44</v>
      </c>
      <c r="B22" s="14">
        <v>36</v>
      </c>
      <c r="C22" s="2"/>
      <c r="D22" s="1"/>
      <c r="E22" s="6"/>
    </row>
    <row r="23" spans="1:5" ht="12.75">
      <c r="A23" s="1" t="s">
        <v>51</v>
      </c>
      <c r="B23" s="10">
        <f>B11*COS(PI()*B12/180)</f>
        <v>92.04543219249352</v>
      </c>
      <c r="C23" s="1" t="s">
        <v>4</v>
      </c>
      <c r="D23" s="1"/>
      <c r="E23" s="6" t="s">
        <v>61</v>
      </c>
    </row>
    <row r="24" spans="1:5" ht="12.75">
      <c r="A24" s="1" t="s">
        <v>56</v>
      </c>
      <c r="B24" s="10">
        <f>B7/B22</f>
        <v>84.44444444444444</v>
      </c>
      <c r="C24" s="1"/>
      <c r="D24" s="1"/>
      <c r="E24" s="6" t="s">
        <v>60</v>
      </c>
    </row>
    <row r="25" spans="1:5" ht="12.75">
      <c r="A25" s="1" t="s">
        <v>57</v>
      </c>
      <c r="B25" s="10">
        <f>2*B7*B5*0.0001/(B6)</f>
        <v>95.7904</v>
      </c>
      <c r="C25" s="1"/>
      <c r="D25" s="1"/>
      <c r="E25" s="6" t="s">
        <v>62</v>
      </c>
    </row>
    <row r="26" spans="1:5" ht="12.75">
      <c r="A26" s="1" t="s">
        <v>58</v>
      </c>
      <c r="B26" s="10">
        <f>SQRT((B24*B24)+(B25*B25))</f>
        <v>127.69755255951802</v>
      </c>
      <c r="C26" s="1"/>
      <c r="D26" s="1"/>
      <c r="E26" s="6" t="s">
        <v>64</v>
      </c>
    </row>
    <row r="27" spans="1:5" ht="12.75">
      <c r="A27" s="1" t="s">
        <v>59</v>
      </c>
      <c r="B27" s="10">
        <f>IF(B23&lt;B26,B23,B26)</f>
        <v>92.04543219249352</v>
      </c>
      <c r="C27" s="1"/>
      <c r="D27" s="1"/>
      <c r="E27" s="6" t="s">
        <v>63</v>
      </c>
    </row>
    <row r="28" spans="1:5" ht="12.75">
      <c r="A28" s="1" t="s">
        <v>69</v>
      </c>
      <c r="B28" s="10">
        <f>B25/COS(B12*0.01745)</f>
        <v>214.29168953390212</v>
      </c>
      <c r="C28" s="1"/>
      <c r="D28" s="1"/>
      <c r="E28" s="6"/>
    </row>
    <row r="29" spans="1:5" ht="12.75">
      <c r="A29" s="1" t="s">
        <v>68</v>
      </c>
      <c r="B29" s="10">
        <f>B7/B22+B15</f>
        <v>94.44444444444444</v>
      </c>
      <c r="C29" s="1"/>
      <c r="D29" s="1"/>
      <c r="E29" s="6"/>
    </row>
    <row r="30" spans="1:8" ht="12.75">
      <c r="A30" s="1" t="s">
        <v>18</v>
      </c>
      <c r="B30" s="20">
        <f>180/PI()*ASIN(B14*B5*0.0000000001/(1/B8*0.001)-SIN(B13*PI()/180))</f>
        <v>58.81862711071205</v>
      </c>
      <c r="C30" s="1" t="s">
        <v>7</v>
      </c>
      <c r="D30" s="2">
        <f>B30-B13</f>
        <v>-4.64137288928795</v>
      </c>
      <c r="E30" s="5" t="s">
        <v>67</v>
      </c>
      <c r="G30" s="2">
        <f>1000000000*(SIN(PI()*B30/180)+SIN(PI()*B13/180))*C8/((B14+1)*100)</f>
        <v>5671.800000000001</v>
      </c>
      <c r="H30" s="2">
        <f>1000000000*(SIN(PI()*B30/180)+SIN(PI()*B13/180))*C8/((B14-1)*100)</f>
        <v>7089.750000000001</v>
      </c>
    </row>
    <row r="31" spans="1:8" ht="12.75">
      <c r="A31" s="1" t="s">
        <v>35</v>
      </c>
      <c r="B31" s="10">
        <f>COS(PI()*B13/180)/COS(PI()*B30/180)</f>
        <v>0.8630100169583701</v>
      </c>
      <c r="C31" s="1"/>
      <c r="D31" s="2" t="s">
        <v>36</v>
      </c>
      <c r="E31" s="5" t="s">
        <v>37</v>
      </c>
      <c r="G31" s="2">
        <f>1000000000*(SIN(PI()*B30/180)+SIN(PI()*B13/180))*C8/((B14+2)*100)</f>
        <v>5156.181818181819</v>
      </c>
      <c r="H31" s="2">
        <f>1000000000*(SIN(PI()*B30/180)+SIN(PI()*B13/180))*C8/((B14-2)*100)</f>
        <v>8102.57142857143</v>
      </c>
    </row>
    <row r="32" spans="1:7" ht="12.75">
      <c r="A32" s="1" t="s">
        <v>9</v>
      </c>
      <c r="B32" s="11">
        <f>(B11*0.001*(SIN(PI()*B30/180)+SIN(PI()*B12/180)))/(B5*0.0000000001)</f>
        <v>572091.3756</v>
      </c>
      <c r="C32" s="1"/>
      <c r="D32" s="1"/>
      <c r="E32" s="6" t="s">
        <v>24</v>
      </c>
      <c r="G32" t="s">
        <v>65</v>
      </c>
    </row>
    <row r="33" spans="1:5" ht="12.75">
      <c r="A33" s="1" t="s">
        <v>72</v>
      </c>
      <c r="B33" s="11">
        <v>1000</v>
      </c>
      <c r="C33" s="1" t="s">
        <v>4</v>
      </c>
      <c r="D33" s="1"/>
      <c r="E33" s="6" t="s">
        <v>13</v>
      </c>
    </row>
    <row r="34" spans="1:5" ht="12.75">
      <c r="A34" s="1" t="s">
        <v>10</v>
      </c>
      <c r="B34" s="3">
        <f>(B33*0.001*B14*B8*1000)/COS(PI()*B30/180)</f>
        <v>5363879.293062379</v>
      </c>
      <c r="C34" s="1" t="s">
        <v>11</v>
      </c>
      <c r="D34" s="1"/>
      <c r="E34" s="6" t="s">
        <v>74</v>
      </c>
    </row>
    <row r="35" spans="1:5" ht="12.75">
      <c r="A35" s="1"/>
      <c r="B35" s="2">
        <f>B34/(1000*10000)</f>
        <v>0.5363879293062379</v>
      </c>
      <c r="C35" s="1" t="s">
        <v>50</v>
      </c>
      <c r="D35" s="1"/>
      <c r="E35" s="6" t="s">
        <v>26</v>
      </c>
    </row>
    <row r="36" spans="1:5" ht="12.75">
      <c r="A36" s="1" t="s">
        <v>22</v>
      </c>
      <c r="B36" s="10">
        <f>1000*B5/B32</f>
        <v>11.015722782729535</v>
      </c>
      <c r="C36" s="1" t="s">
        <v>48</v>
      </c>
      <c r="D36" s="1"/>
      <c r="E36" s="5" t="s">
        <v>25</v>
      </c>
    </row>
    <row r="37" spans="1:6" ht="12.75">
      <c r="A37" s="1" t="s">
        <v>38</v>
      </c>
      <c r="B37" s="14">
        <f>B9/B35</f>
        <v>22.371868090918365</v>
      </c>
      <c r="C37" s="1" t="s">
        <v>47</v>
      </c>
      <c r="D37" s="1"/>
      <c r="E37" s="6" t="s">
        <v>85</v>
      </c>
      <c r="F37" s="1" t="s">
        <v>13</v>
      </c>
    </row>
    <row r="38" spans="1:5" ht="12.75">
      <c r="A38" s="1" t="s">
        <v>39</v>
      </c>
      <c r="B38" s="10">
        <f>B33*B6*B31/(B35*B7)</f>
        <v>21.170116513743285</v>
      </c>
      <c r="C38" s="1" t="s">
        <v>48</v>
      </c>
      <c r="D38" s="1"/>
      <c r="E38" s="6" t="s">
        <v>75</v>
      </c>
    </row>
    <row r="39" spans="1:5" ht="12.75">
      <c r="A39" s="1" t="s">
        <v>12</v>
      </c>
      <c r="B39" s="14">
        <f>SQRT((B36*B36)+(B37*B37)+(B38*B38))</f>
        <v>32.71116725995671</v>
      </c>
      <c r="C39" s="1" t="s">
        <v>48</v>
      </c>
      <c r="D39" s="1"/>
      <c r="E39" s="6" t="s">
        <v>70</v>
      </c>
    </row>
    <row r="40" spans="1:5" ht="12.75">
      <c r="A40" s="1" t="s">
        <v>46</v>
      </c>
      <c r="B40" s="22">
        <f>B21/B35</f>
        <v>5.727198231275102</v>
      </c>
      <c r="C40" s="1" t="s">
        <v>49</v>
      </c>
      <c r="D40" s="1"/>
      <c r="E40" s="6"/>
    </row>
    <row r="41" spans="1:5" ht="12.75">
      <c r="A41" s="1" t="s">
        <v>29</v>
      </c>
      <c r="B41" s="3">
        <f>(1/COS(PI()*B12/180))*B14*B5*0.0000000001*B15*0.001*B15*0.001/(B7*0.001*B7*0.001*(1/B8)*0.001*8)</f>
        <v>5.297907899318529E-06</v>
      </c>
      <c r="C41" s="1" t="s">
        <v>30</v>
      </c>
      <c r="D41" s="1"/>
      <c r="E41" s="6" t="s">
        <v>40</v>
      </c>
    </row>
    <row r="42" spans="2:5" ht="12.75">
      <c r="B42" s="10">
        <f>B41*B7*1000</f>
        <v>16.10564001392833</v>
      </c>
      <c r="C42" s="1" t="s">
        <v>2</v>
      </c>
      <c r="E42" s="5" t="s">
        <v>34</v>
      </c>
    </row>
    <row r="43" spans="2:8" ht="12.75">
      <c r="B43" s="10">
        <f>B42/B6</f>
        <v>0.40264100034820827</v>
      </c>
      <c r="C43" s="1" t="s">
        <v>31</v>
      </c>
      <c r="H43" t="s">
        <v>31</v>
      </c>
    </row>
    <row r="44" spans="1:8" ht="12.75">
      <c r="A44" s="1" t="s">
        <v>78</v>
      </c>
      <c r="B44" s="22">
        <f>1000*(B19-(B33*2/B7))*B7/(B33*B16)</f>
        <v>160.50526315789472</v>
      </c>
      <c r="C44" s="1" t="s">
        <v>77</v>
      </c>
      <c r="D44" s="24">
        <f>1000*(B19)*B7/(B33*B16)</f>
        <v>175.54285714285714</v>
      </c>
      <c r="E44" s="4" t="s">
        <v>89</v>
      </c>
      <c r="F44" s="25">
        <f>0.001*D44*B16/1.414</f>
        <v>16.511456859971712</v>
      </c>
      <c r="G44" t="s">
        <v>4</v>
      </c>
      <c r="H44" s="26">
        <f>B44/B17</f>
        <v>533.68</v>
      </c>
    </row>
    <row r="45" spans="1:8" ht="12.75">
      <c r="A45" s="1" t="s">
        <v>80</v>
      </c>
      <c r="B45" s="22">
        <f>B10*B7/(B33*B16)</f>
        <v>0.2742857142857143</v>
      </c>
      <c r="C45" s="1" t="s">
        <v>77</v>
      </c>
      <c r="H45" t="s">
        <v>36</v>
      </c>
    </row>
    <row r="46" spans="1:5" ht="12.75">
      <c r="A46" s="1" t="s">
        <v>45</v>
      </c>
      <c r="B46" s="2">
        <f>SIN(E49)/E49</f>
        <v>0.7385455988637547</v>
      </c>
      <c r="C46" s="1"/>
      <c r="E46" s="6" t="s">
        <v>41</v>
      </c>
    </row>
    <row r="47" spans="1:6" ht="12.75">
      <c r="A47" s="1" t="s">
        <v>52</v>
      </c>
      <c r="B47" s="2">
        <f>E55</f>
        <v>0.818901973344662</v>
      </c>
      <c r="C47" s="1"/>
      <c r="E47" s="6" t="s">
        <v>43</v>
      </c>
      <c r="F47" s="1"/>
    </row>
    <row r="48" spans="1:6" ht="12.75">
      <c r="A48" s="1" t="s">
        <v>53</v>
      </c>
      <c r="B48" s="2">
        <f>B47*B46</f>
        <v>0.6047964483145438</v>
      </c>
      <c r="C48" s="1"/>
      <c r="E48" s="6" t="s">
        <v>42</v>
      </c>
      <c r="F48" s="1"/>
    </row>
    <row r="49" spans="2:5" ht="12.75">
      <c r="B49" s="2"/>
      <c r="C49" s="1"/>
      <c r="E49" s="19">
        <f>PI()*B14*(COS(B12*PI()/180)-SIN(B12*PI()/180)/TAN((B13+B30)*PI()/360))</f>
        <v>-1.3072677333993907</v>
      </c>
    </row>
    <row r="50" spans="2:3" ht="12.75">
      <c r="B50" s="2"/>
      <c r="C50" s="1"/>
    </row>
    <row r="51" spans="2:5" ht="12.75">
      <c r="B51" s="2"/>
      <c r="C51" s="1"/>
      <c r="E51" s="17" t="s">
        <v>66</v>
      </c>
    </row>
    <row r="52" spans="2:6" ht="12.75">
      <c r="B52" s="2"/>
      <c r="C52" s="1"/>
      <c r="E52" s="18">
        <f>1-SIN(ABS(PI()*(B13-B12)/180))/SIN(PI()*(90-B12)/180)</f>
        <v>1</v>
      </c>
      <c r="F52" t="s">
        <v>54</v>
      </c>
    </row>
    <row r="53" spans="2:6" ht="12.75">
      <c r="B53" s="2"/>
      <c r="C53" s="1"/>
      <c r="E53" s="18">
        <f>1-SIN(ABS(PI()*(B30-B12)/180))/SIN(PI()*(90-B12)/180)</f>
        <v>0.818901973344662</v>
      </c>
      <c r="F53" t="s">
        <v>55</v>
      </c>
    </row>
    <row r="54" spans="2:3" ht="12.75">
      <c r="B54" s="2"/>
      <c r="C54" s="1"/>
    </row>
    <row r="55" spans="2:5" ht="12.75">
      <c r="B55" s="2"/>
      <c r="C55" s="1"/>
      <c r="E55" s="18">
        <f>IF(E52&lt;E53,E52,E53)</f>
        <v>0.818901973344662</v>
      </c>
    </row>
    <row r="56" spans="2:3" ht="12.75">
      <c r="B56" s="2"/>
      <c r="C56" s="1"/>
    </row>
    <row r="57" spans="2:3" ht="12.75">
      <c r="B57" s="2"/>
      <c r="C57" s="1"/>
    </row>
    <row r="58" spans="2:3" ht="12.75">
      <c r="B58" s="2"/>
      <c r="C58" s="1"/>
    </row>
    <row r="59" spans="2:3" ht="12.75">
      <c r="B59" s="2"/>
      <c r="C59" s="1"/>
    </row>
    <row r="60" spans="2:3" ht="12.75">
      <c r="B60" s="2"/>
      <c r="C60" s="1"/>
    </row>
    <row r="61" spans="2:3" ht="12.75">
      <c r="B61" s="2"/>
      <c r="C61" s="1"/>
    </row>
    <row r="62" spans="2:3" ht="12.75">
      <c r="B62" s="2"/>
      <c r="C62" s="1"/>
    </row>
    <row r="63" spans="2:3" ht="12.75">
      <c r="B63" s="2"/>
      <c r="C63" s="1"/>
    </row>
    <row r="64" spans="2:3" ht="12.75">
      <c r="B64" s="2"/>
      <c r="C64" s="1"/>
    </row>
    <row r="65" spans="2:3" ht="12.75">
      <c r="B65" s="2"/>
      <c r="C65" s="1"/>
    </row>
    <row r="66" spans="2:3" ht="12.75">
      <c r="B66" s="2"/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</sheetData>
  <printOptions/>
  <pageMargins left="0.75" right="0.75" top="1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HAO/NCAR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 Elmore</dc:creator>
  <cp:keywords/>
  <dc:description/>
  <cp:lastModifiedBy>David Elmore</cp:lastModifiedBy>
  <cp:lastPrinted>2003-12-11T15:41:51Z</cp:lastPrinted>
  <dcterms:created xsi:type="dcterms:W3CDTF">1999-05-11T20:30:53Z</dcterms:created>
  <dcterms:modified xsi:type="dcterms:W3CDTF">2003-12-12T17:38:41Z</dcterms:modified>
  <cp:category/>
  <cp:version/>
  <cp:contentType/>
  <cp:contentStatus/>
</cp:coreProperties>
</file>